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mc:AlternateContent xmlns:mc="http://schemas.openxmlformats.org/markup-compatibility/2006">
    <mc:Choice Requires="x15">
      <x15ac:absPath xmlns:x15ac="http://schemas.microsoft.com/office/spreadsheetml/2010/11/ac" url="https://usaskca1-my.sharepoint.com/personal/rsl486_usask_ca/Documents/Social Innovation Lab/Current Projects/Pride Home Template Documents/Aida implementing Rachel's edits Pt. 1/"/>
    </mc:Choice>
  </mc:AlternateContent>
  <xr:revisionPtr revIDLastSave="0" documentId="8_{80EFB21E-8F17-7944-9B5B-FDDBAEA7706B}" xr6:coauthVersionLast="47" xr6:coauthVersionMax="47" xr10:uidLastSave="{00000000-0000-0000-0000-000000000000}"/>
  <bookViews>
    <workbookView xWindow="0" yWindow="500" windowWidth="36320" windowHeight="22920" xr2:uid="{00000000-000D-0000-FFFF-FFFF00000000}"/>
  </bookViews>
  <sheets>
    <sheet name="16-18 year olds" sheetId="1" r:id="rId1"/>
    <sheet name="19-21 year olds" sheetId="5" r:id="rId2"/>
    <sheet name="Start-up Costs" sheetId="3" r:id="rId3"/>
    <sheet name="Per Diem Calculations" sheetId="2" r:id="rId4"/>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3" l="1"/>
  <c r="E22" i="2"/>
  <c r="E23" i="2"/>
  <c r="E24" i="2"/>
  <c r="E28" i="5"/>
  <c r="E8" i="5"/>
  <c r="E10" i="5"/>
  <c r="E19" i="5"/>
  <c r="E9" i="5"/>
  <c r="E11" i="1"/>
  <c r="E21" i="5"/>
  <c r="E12" i="5"/>
  <c r="E24" i="1"/>
  <c r="E32" i="1"/>
  <c r="E31" i="5"/>
  <c r="E23" i="5"/>
  <c r="E22" i="5"/>
  <c r="E20" i="5"/>
  <c r="E18" i="5"/>
  <c r="E17" i="5"/>
  <c r="E16" i="5"/>
  <c r="E15" i="5"/>
  <c r="E13" i="5"/>
  <c r="I23" i="1"/>
  <c r="D8" i="2"/>
  <c r="D14" i="2"/>
  <c r="D19" i="2"/>
  <c r="E31" i="1"/>
  <c r="E21" i="1"/>
  <c r="E13" i="1"/>
  <c r="E23" i="1"/>
  <c r="E22" i="1"/>
  <c r="E19" i="1"/>
  <c r="E17" i="1"/>
  <c r="E16" i="1"/>
  <c r="E15" i="1"/>
  <c r="E20" i="1"/>
  <c r="E18" i="1"/>
  <c r="E8" i="1"/>
  <c r="E12" i="1"/>
  <c r="E10" i="1"/>
  <c r="E9" i="1"/>
  <c r="E11" i="5" l="1"/>
  <c r="E25" i="5" s="1"/>
  <c r="E33" i="5" s="1"/>
  <c r="E35" i="1"/>
  <c r="E26" i="1"/>
  <c r="G25" i="3"/>
  <c r="F8" i="2"/>
  <c r="F14" i="2"/>
  <c r="F19" i="2"/>
  <c r="F21" i="2"/>
  <c r="F22" i="2"/>
  <c r="F23" i="2"/>
  <c r="F24" i="2"/>
  <c r="E14" i="2"/>
  <c r="E21" i="2"/>
  <c r="F25" i="2" l="1"/>
  <c r="F27" i="2" s="1"/>
  <c r="E25" i="2"/>
  <c r="E28" i="1"/>
  <c r="E37" i="1" s="1"/>
  <c r="E19" i="2"/>
  <c r="D27" i="2"/>
  <c r="D29" i="2" s="1"/>
  <c r="E8" i="2"/>
  <c r="I25" i="1"/>
  <c r="E27" i="2" l="1"/>
</calcChain>
</file>

<file path=xl/sharedStrings.xml><?xml version="1.0" encoding="utf-8"?>
<sst xmlns="http://schemas.openxmlformats.org/spreadsheetml/2006/main" count="127" uniqueCount="82">
  <si>
    <t>Expenses</t>
  </si>
  <si>
    <t>Staffing</t>
  </si>
  <si>
    <t>Supplies</t>
  </si>
  <si>
    <t>Rent</t>
  </si>
  <si>
    <t>Food</t>
  </si>
  <si>
    <t>Travel</t>
  </si>
  <si>
    <t>Recreation</t>
  </si>
  <si>
    <t>Total Expenses</t>
  </si>
  <si>
    <t>Revenue</t>
  </si>
  <si>
    <t>Total Revenues</t>
  </si>
  <si>
    <t>NET:</t>
  </si>
  <si>
    <t>Monthly Breakdown</t>
  </si>
  <si>
    <t>For 2 Youth</t>
  </si>
  <si>
    <t>For 3 Youth</t>
  </si>
  <si>
    <t>Includes:</t>
  </si>
  <si>
    <t>Coaching and case management</t>
  </si>
  <si>
    <t>Meal-planning, cooking skills</t>
  </si>
  <si>
    <t>Counselling/peer support</t>
  </si>
  <si>
    <t>School support and/or employment support</t>
  </si>
  <si>
    <t xml:space="preserve"> </t>
  </si>
  <si>
    <t xml:space="preserve">  Emergency support</t>
  </si>
  <si>
    <t xml:space="preserve">  Peer support and coaching</t>
  </si>
  <si>
    <t>Rent and Utilities</t>
  </si>
  <si>
    <t xml:space="preserve">  Includes internet, cable tv, </t>
  </si>
  <si>
    <t xml:space="preserve">Food </t>
  </si>
  <si>
    <t>Admin</t>
  </si>
  <si>
    <t>Housing Manager</t>
  </si>
  <si>
    <t>Travel (to events, groups, grocery store)</t>
  </si>
  <si>
    <t>Overall Per Diem for One Youth</t>
  </si>
  <si>
    <t>Start Up Expenses</t>
  </si>
  <si>
    <t>Staff Training</t>
  </si>
  <si>
    <t>Staff Hours</t>
  </si>
  <si>
    <t>Graphic Design</t>
  </si>
  <si>
    <t>Vehicle</t>
  </si>
  <si>
    <t>Supplies for the home</t>
  </si>
  <si>
    <t>Office set-up</t>
  </si>
  <si>
    <t xml:space="preserve">Total </t>
  </si>
  <si>
    <t>Grants and Fundraising</t>
  </si>
  <si>
    <t>Ministry Block Funding</t>
  </si>
  <si>
    <t>Rent and utilities paid by youth on SAP and SAID</t>
  </si>
  <si>
    <t>Benefits and Vacation</t>
  </si>
  <si>
    <t>Pride Home: Per Diem Costs for 16-18 year olds</t>
  </si>
  <si>
    <t xml:space="preserve"> Monthly Breakdown </t>
  </si>
  <si>
    <t>Professional Development</t>
  </si>
  <si>
    <t>Two Full-time Staff</t>
  </si>
  <si>
    <t>Two Part-time Staff</t>
  </si>
  <si>
    <t>Staff Support (16 hours onsite per day - percentage)</t>
  </si>
  <si>
    <t>This budget is designed to support 6 youth who are primarily 16-18 years old. It assumes that at least three of the residents are supported through per diems via a provincial child and family protection program.</t>
  </si>
  <si>
    <t>Queer Group Home Budget 16-18 year olds</t>
  </si>
  <si>
    <t>6 Bedrooms</t>
  </si>
  <si>
    <t>Utilities</t>
  </si>
  <si>
    <t>Household</t>
  </si>
  <si>
    <t>Programming</t>
  </si>
  <si>
    <t>Miscellaneous</t>
  </si>
  <si>
    <t>Insurance</t>
  </si>
  <si>
    <t>Communications</t>
  </si>
  <si>
    <t>Phone and Wifi</t>
  </si>
  <si>
    <t>Resident Funds</t>
  </si>
  <si>
    <t>Honoraria</t>
  </si>
  <si>
    <t>For per diem youth</t>
  </si>
  <si>
    <t>Includes 3 bus passes</t>
  </si>
  <si>
    <t>185/day X 3 youth</t>
  </si>
  <si>
    <t>Management and Emergency Support</t>
  </si>
  <si>
    <t>Programming and Miscellaneous</t>
  </si>
  <si>
    <t xml:space="preserve">Rate: 185/day </t>
  </si>
  <si>
    <t>Queer Group Home Budget 19-21 year olds</t>
  </si>
  <si>
    <t>Part time staff</t>
  </si>
  <si>
    <t>Registrations</t>
  </si>
  <si>
    <t xml:space="preserve">  Includes internet, cable tv</t>
  </si>
  <si>
    <t>Live in Mentor</t>
  </si>
  <si>
    <t xml:space="preserve">This budget is designed to support 6 youth who are primarily 19-21 years old. It covers food and programming for youth, with a live-in mentor and part-time staff support. Youth are much more independent on this model and have their rent and utilities paid for by government programs, their guardians, or through working.  </t>
  </si>
  <si>
    <t>Rent and utilities paid</t>
  </si>
  <si>
    <t>Per Diem Calculator</t>
  </si>
  <si>
    <t>Workshops and certifications</t>
  </si>
  <si>
    <t>Fundraising and Communication</t>
  </si>
  <si>
    <t>This is a sample start-up budget for getting your home going - note that this doesn't include staff time for pre-planning and development and assumes that this is covered in-kind from a parent organization. If this is not included elsewhere, budget 25,000-50,000 for pre-work (grant writing, contract development, housing negotiations, project planning, etc).</t>
  </si>
  <si>
    <t>Furniture</t>
  </si>
  <si>
    <t xml:space="preserve">This are the kinds of things that people like to donate. If you develop clear asks for the community, for new or lightly used furniture, technology, and supplies, you will likely have great success in sourcing many of these starti-up supplies. </t>
  </si>
  <si>
    <t>Bedding, dishes, cleaning supplies</t>
  </si>
  <si>
    <t>Television and dvd player</t>
  </si>
  <si>
    <t>Equipment and supplies</t>
  </si>
  <si>
    <t>Printing/ad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</si>
</sst>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25"/>
      <color theme="1"/>
      <name val="Calibri"/>
      <family val="2"/>
      <scheme val="minor"/>
    </font>
    <font>
      <sz val="8"/>
      <name val="Calibri"/>
      <family val="2"/>
      <scheme val="minor"/>
    </font>
    <font>
      <sz val="11"/>
      <color theme="1"/>
      <name val="Calibri"/>
      <family val="2"/>
    </font>
    <font>
      <b/>
      <sz val="25"/>
      <color theme="1"/>
      <name val="Calibri"/>
      <family val="2"/>
    </font>
    <font>
      <sz val="12"/>
      <color theme="1"/>
      <name val="Calibri"/>
      <family val="2"/>
    </font>
    <font>
      <b/>
      <sz val="12"/>
      <color theme="1"/>
      <name val="Calibri"/>
      <family val="2"/>
    </font>
    <font>
      <b/>
      <sz val="12"/>
      <color rgb="FF000000"/>
      <name val="Calibri"/>
      <family val="2"/>
    </font>
    <font>
      <sz val="12"/>
      <color rgb="FF000000"/>
      <name val="Calibri"/>
      <family val="2"/>
    </font>
    <font>
      <sz val="14"/>
      <color theme="1"/>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rgb="FFC3D69B"/>
        <bgColor indexed="64"/>
      </patternFill>
    </fill>
    <fill>
      <patternFill patternType="solid">
        <fgColor rgb="FFD8E4BC"/>
        <bgColor indexed="64"/>
      </patternFill>
    </fill>
    <fill>
      <patternFill patternType="solid">
        <fgColor rgb="FFBFBFBF"/>
        <bgColor indexed="64"/>
      </patternFill>
    </fill>
    <fill>
      <patternFill patternType="solid">
        <fgColor theme="6"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44" fontId="0" fillId="0" borderId="0" xfId="1" applyFont="1"/>
    <xf numFmtId="0" fontId="2" fillId="0" borderId="0" xfId="0" applyFont="1"/>
    <xf numFmtId="0" fontId="0" fillId="2" borderId="0" xfId="0" applyFill="1"/>
    <xf numFmtId="0" fontId="2" fillId="2" borderId="0" xfId="0" applyFont="1" applyFill="1"/>
    <xf numFmtId="44" fontId="2" fillId="2" borderId="0" xfId="1" applyFont="1" applyFill="1"/>
    <xf numFmtId="44" fontId="0" fillId="2" borderId="0" xfId="1" applyFont="1" applyFill="1"/>
    <xf numFmtId="0" fontId="0" fillId="3" borderId="0" xfId="0" applyFill="1"/>
    <xf numFmtId="44" fontId="0" fillId="3" borderId="0" xfId="1" applyFont="1" applyFill="1"/>
    <xf numFmtId="44" fontId="0" fillId="0" borderId="0" xfId="0" applyNumberFormat="1"/>
    <xf numFmtId="44" fontId="0" fillId="2" borderId="0" xfId="0" applyNumberFormat="1" applyFill="1"/>
    <xf numFmtId="44" fontId="2" fillId="0" borderId="0" xfId="1" applyFont="1" applyFill="1"/>
    <xf numFmtId="44" fontId="0" fillId="0" borderId="0" xfId="1" applyFont="1" applyFill="1"/>
    <xf numFmtId="0" fontId="0" fillId="4" borderId="0" xfId="0" applyFill="1"/>
    <xf numFmtId="44" fontId="0" fillId="4" borderId="0" xfId="1" applyFont="1" applyFill="1"/>
    <xf numFmtId="164" fontId="0" fillId="4" borderId="0" xfId="0" applyNumberFormat="1" applyFill="1"/>
    <xf numFmtId="164" fontId="0" fillId="0" borderId="0" xfId="0" applyNumberFormat="1"/>
    <xf numFmtId="0" fontId="3" fillId="3" borderId="0" xfId="0" applyFont="1" applyFill="1"/>
    <xf numFmtId="0" fontId="6" fillId="3" borderId="0" xfId="0" applyFont="1" applyFill="1" applyAlignment="1">
      <alignment horizontal="center" vertical="top" wrapText="1"/>
    </xf>
    <xf numFmtId="0" fontId="7" fillId="0" borderId="0" xfId="0" applyFont="1"/>
    <xf numFmtId="15" fontId="7" fillId="0" borderId="0" xfId="0" applyNumberFormat="1" applyFont="1"/>
    <xf numFmtId="44" fontId="7" fillId="0" borderId="0" xfId="1" applyFont="1"/>
    <xf numFmtId="44" fontId="7" fillId="0" borderId="0" xfId="1" applyFont="1" applyFill="1"/>
    <xf numFmtId="0" fontId="7" fillId="0" borderId="0" xfId="0" applyFont="1" applyFill="1" applyBorder="1" applyAlignment="1">
      <alignment vertical="center" wrapText="1"/>
    </xf>
    <xf numFmtId="0" fontId="7" fillId="2" borderId="0" xfId="0" applyFont="1" applyFill="1"/>
    <xf numFmtId="0" fontId="8" fillId="2" borderId="0" xfId="0" applyFont="1" applyFill="1"/>
    <xf numFmtId="44" fontId="7" fillId="2" borderId="0" xfId="1" applyFont="1" applyFill="1"/>
    <xf numFmtId="0" fontId="8" fillId="0" borderId="0" xfId="0" applyFont="1"/>
    <xf numFmtId="0" fontId="9" fillId="5" borderId="1" xfId="0" applyFont="1" applyFill="1" applyBorder="1" applyAlignment="1">
      <alignment vertical="center"/>
    </xf>
    <xf numFmtId="0" fontId="9" fillId="5" borderId="2" xfId="0" applyFont="1" applyFill="1" applyBorder="1" applyAlignment="1">
      <alignment vertical="center"/>
    </xf>
    <xf numFmtId="0" fontId="10" fillId="5" borderId="3" xfId="0" applyFont="1" applyFill="1" applyBorder="1" applyAlignment="1">
      <alignment vertical="center"/>
    </xf>
    <xf numFmtId="0" fontId="7" fillId="0" borderId="4" xfId="0" applyFont="1" applyBorder="1"/>
    <xf numFmtId="0" fontId="7" fillId="0" borderId="5" xfId="0" applyFont="1" applyBorder="1"/>
    <xf numFmtId="0" fontId="9" fillId="6" borderId="4" xfId="0" applyFont="1" applyFill="1" applyBorder="1" applyAlignment="1">
      <alignment vertical="center"/>
    </xf>
    <xf numFmtId="0" fontId="10" fillId="6" borderId="0" xfId="0" applyFont="1" applyFill="1" applyAlignment="1">
      <alignment vertical="center"/>
    </xf>
    <xf numFmtId="0" fontId="10" fillId="6" borderId="5" xfId="0" applyFont="1" applyFill="1" applyBorder="1" applyAlignment="1">
      <alignment vertical="center"/>
    </xf>
    <xf numFmtId="0" fontId="9" fillId="0" borderId="4" xfId="0" applyFont="1" applyBorder="1" applyAlignment="1">
      <alignment vertical="center"/>
    </xf>
    <xf numFmtId="0" fontId="10" fillId="0" borderId="4" xfId="0" applyFont="1" applyBorder="1" applyAlignment="1">
      <alignment vertical="center"/>
    </xf>
    <xf numFmtId="0" fontId="10" fillId="0" borderId="0" xfId="0" applyFont="1" applyAlignment="1">
      <alignment vertical="center"/>
    </xf>
    <xf numFmtId="8" fontId="10" fillId="0" borderId="5" xfId="0" applyNumberFormat="1" applyFont="1" applyBorder="1" applyAlignment="1">
      <alignment vertical="center"/>
    </xf>
    <xf numFmtId="0" fontId="10" fillId="0" borderId="0" xfId="0" applyFont="1" applyAlignment="1">
      <alignment vertical="center"/>
    </xf>
    <xf numFmtId="0" fontId="9" fillId="0" borderId="4" xfId="0" applyFont="1" applyBorder="1" applyAlignment="1">
      <alignment vertical="center"/>
    </xf>
    <xf numFmtId="0" fontId="9" fillId="0" borderId="0" xfId="0" applyFont="1" applyAlignment="1">
      <alignment vertical="center"/>
    </xf>
    <xf numFmtId="44" fontId="8" fillId="0" borderId="0" xfId="1" applyFont="1" applyFill="1"/>
    <xf numFmtId="44" fontId="8" fillId="2" borderId="0" xfId="1" applyFont="1" applyFill="1"/>
    <xf numFmtId="0" fontId="9" fillId="6" borderId="0" xfId="0" applyFont="1" applyFill="1" applyAlignment="1">
      <alignment vertical="center"/>
    </xf>
    <xf numFmtId="8" fontId="9" fillId="6" borderId="5" xfId="0" applyNumberFormat="1" applyFont="1" applyFill="1" applyBorder="1" applyAlignment="1">
      <alignment vertical="center"/>
    </xf>
    <xf numFmtId="0" fontId="7" fillId="0" borderId="0" xfId="0" applyFont="1" applyAlignment="1">
      <alignment horizontal="right"/>
    </xf>
    <xf numFmtId="0" fontId="7" fillId="0" borderId="6" xfId="0" applyFont="1" applyBorder="1"/>
    <xf numFmtId="0" fontId="10" fillId="6" borderId="7" xfId="0" applyFont="1" applyFill="1" applyBorder="1" applyAlignment="1">
      <alignment vertical="center"/>
    </xf>
    <xf numFmtId="8" fontId="10" fillId="6" borderId="8" xfId="0" applyNumberFormat="1" applyFont="1" applyFill="1" applyBorder="1" applyAlignment="1">
      <alignment vertical="center"/>
    </xf>
    <xf numFmtId="0" fontId="5" fillId="7" borderId="9"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0" borderId="0" xfId="0" applyFont="1" applyFill="1" applyBorder="1" applyAlignment="1">
      <alignment vertical="top" wrapText="1"/>
    </xf>
    <xf numFmtId="0" fontId="5" fillId="7" borderId="11" xfId="0" applyFont="1" applyFill="1" applyBorder="1" applyAlignment="1">
      <alignment horizontal="left" vertical="center" wrapText="1"/>
    </xf>
    <xf numFmtId="0" fontId="0" fillId="0" borderId="0" xfId="0" applyFill="1"/>
    <xf numFmtId="0" fontId="9" fillId="0" borderId="0" xfId="0" applyFont="1" applyAlignment="1">
      <alignment vertical="center"/>
    </xf>
    <xf numFmtId="0" fontId="9" fillId="0" borderId="0" xfId="0" applyFont="1" applyFill="1" applyAlignment="1">
      <alignment vertical="center"/>
    </xf>
    <xf numFmtId="0" fontId="10" fillId="0" borderId="5" xfId="0" applyFont="1" applyFill="1" applyBorder="1" applyAlignment="1">
      <alignment vertical="center"/>
    </xf>
    <xf numFmtId="0" fontId="8" fillId="0" borderId="4" xfId="0" applyFont="1" applyBorder="1"/>
    <xf numFmtId="0" fontId="7" fillId="0" borderId="0" xfId="0" applyFont="1" applyFill="1" applyBorder="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8" fontId="10" fillId="0" borderId="0" xfId="0" applyNumberFormat="1" applyFont="1" applyFill="1" applyBorder="1" applyAlignment="1">
      <alignment vertical="center"/>
    </xf>
    <xf numFmtId="0" fontId="8" fillId="0" borderId="0" xfId="0" applyFont="1" applyFill="1" applyBorder="1"/>
    <xf numFmtId="8" fontId="9" fillId="0" borderId="0" xfId="0" applyNumberFormat="1" applyFont="1" applyFill="1" applyBorder="1" applyAlignment="1">
      <alignment vertical="center"/>
    </xf>
    <xf numFmtId="0" fontId="5" fillId="7" borderId="2" xfId="0" applyFont="1" applyFill="1" applyBorder="1" applyAlignment="1">
      <alignment horizontal="left" vertical="center" wrapText="1"/>
    </xf>
    <xf numFmtId="0" fontId="5" fillId="7" borderId="0"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7" borderId="7"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3" fillId="4" borderId="0" xfId="0" applyFont="1" applyFill="1"/>
    <xf numFmtId="164" fontId="0" fillId="2" borderId="0" xfId="0" applyNumberFormat="1" applyFill="1"/>
    <xf numFmtId="164" fontId="2" fillId="2" borderId="0" xfId="0" applyNumberFormat="1" applyFont="1" applyFill="1"/>
    <xf numFmtId="0" fontId="5" fillId="7" borderId="1"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37"/>
  <sheetViews>
    <sheetView tabSelected="1" topLeftCell="A15" zoomScale="140" zoomScaleNormal="140" workbookViewId="0">
      <selection activeCell="G3" sqref="G3:I3"/>
    </sheetView>
  </sheetViews>
  <sheetFormatPr baseColWidth="10" defaultColWidth="8.83203125" defaultRowHeight="16" x14ac:dyDescent="0.2"/>
  <cols>
    <col min="1" max="1" width="8.83203125" style="19"/>
    <col min="2" max="2" width="3.33203125" style="19" customWidth="1"/>
    <col min="3" max="3" width="25.33203125" style="19" customWidth="1"/>
    <col min="4" max="4" width="31.6640625" style="19" customWidth="1"/>
    <col min="5" max="5" width="17.83203125" style="21" customWidth="1"/>
    <col min="6" max="6" width="3.5" style="22" customWidth="1"/>
    <col min="7" max="7" width="18.83203125" style="19" customWidth="1"/>
    <col min="8" max="8" width="38.33203125" style="19" customWidth="1"/>
    <col min="9" max="9" width="21.5" style="19" customWidth="1"/>
    <col min="10" max="10" width="13.83203125" style="19" bestFit="1" customWidth="1"/>
    <col min="11" max="11" width="9.1640625" style="19" customWidth="1"/>
    <col min="12" max="12" width="17.5" style="19" bestFit="1" customWidth="1"/>
    <col min="13" max="16384" width="8.83203125" style="19"/>
  </cols>
  <sheetData>
    <row r="2" spans="2:12" ht="18" customHeight="1" thickBot="1" x14ac:dyDescent="0.25">
      <c r="B2" s="20"/>
    </row>
    <row r="3" spans="2:12" ht="39" customHeight="1" thickBot="1" x14ac:dyDescent="0.25">
      <c r="B3" s="18" t="s">
        <v>48</v>
      </c>
      <c r="C3" s="18"/>
      <c r="D3" s="18"/>
      <c r="E3" s="18"/>
      <c r="G3" s="51" t="s">
        <v>47</v>
      </c>
      <c r="H3" s="52"/>
      <c r="I3" s="54"/>
      <c r="J3" s="53"/>
      <c r="K3" s="53"/>
      <c r="L3" s="23"/>
    </row>
    <row r="4" spans="2:12" ht="17" thickBot="1" x14ac:dyDescent="0.25"/>
    <row r="5" spans="2:12" x14ac:dyDescent="0.2">
      <c r="B5" s="24"/>
      <c r="C5" s="25" t="s">
        <v>0</v>
      </c>
      <c r="D5" s="24"/>
      <c r="E5" s="26"/>
      <c r="G5" s="28" t="s">
        <v>41</v>
      </c>
      <c r="H5" s="29"/>
      <c r="I5" s="30"/>
    </row>
    <row r="6" spans="2:12" x14ac:dyDescent="0.2">
      <c r="G6" s="31"/>
      <c r="I6" s="32"/>
    </row>
    <row r="7" spans="2:12" x14ac:dyDescent="0.2">
      <c r="C7" s="27" t="s">
        <v>1</v>
      </c>
      <c r="G7" s="33" t="s">
        <v>64</v>
      </c>
      <c r="H7" s="34"/>
      <c r="I7" s="35" t="s">
        <v>42</v>
      </c>
    </row>
    <row r="8" spans="2:12" x14ac:dyDescent="0.2">
      <c r="D8" s="19" t="s">
        <v>26</v>
      </c>
      <c r="E8" s="21">
        <f>35*15*52</f>
        <v>27300</v>
      </c>
      <c r="G8" s="36" t="s">
        <v>14</v>
      </c>
      <c r="I8" s="32"/>
    </row>
    <row r="9" spans="2:12" x14ac:dyDescent="0.2">
      <c r="D9" s="19" t="s">
        <v>44</v>
      </c>
      <c r="E9" s="21">
        <f>2*(30*37.5*52)</f>
        <v>117000</v>
      </c>
      <c r="G9" s="37" t="s">
        <v>46</v>
      </c>
      <c r="H9" s="38"/>
      <c r="I9" s="39">
        <v>4175</v>
      </c>
    </row>
    <row r="10" spans="2:12" x14ac:dyDescent="0.2">
      <c r="D10" s="19" t="s">
        <v>45</v>
      </c>
      <c r="E10" s="21">
        <f>2*(20*27*52)</f>
        <v>56160</v>
      </c>
      <c r="G10" s="31"/>
      <c r="H10" s="40" t="s">
        <v>15</v>
      </c>
      <c r="I10" s="32"/>
    </row>
    <row r="11" spans="2:12" x14ac:dyDescent="0.2">
      <c r="D11" s="19" t="s">
        <v>40</v>
      </c>
      <c r="E11" s="21">
        <f>((E8+E9+E10)*0.15)</f>
        <v>30069</v>
      </c>
      <c r="G11" s="31"/>
      <c r="H11" s="40" t="s">
        <v>16</v>
      </c>
      <c r="I11" s="32"/>
    </row>
    <row r="12" spans="2:12" x14ac:dyDescent="0.2">
      <c r="D12" s="19" t="s">
        <v>43</v>
      </c>
      <c r="E12" s="21">
        <f>4*500</f>
        <v>2000</v>
      </c>
      <c r="G12" s="31"/>
      <c r="H12" s="40" t="s">
        <v>17</v>
      </c>
      <c r="I12" s="32"/>
    </row>
    <row r="13" spans="2:12" x14ac:dyDescent="0.2">
      <c r="C13" s="27"/>
      <c r="D13" s="19" t="s">
        <v>58</v>
      </c>
      <c r="E13" s="21">
        <f>300*12</f>
        <v>3600</v>
      </c>
      <c r="G13" s="31"/>
      <c r="H13" s="40" t="s">
        <v>18</v>
      </c>
      <c r="I13" s="32"/>
    </row>
    <row r="14" spans="2:12" x14ac:dyDescent="0.2">
      <c r="C14" s="27" t="s">
        <v>2</v>
      </c>
      <c r="G14" s="31"/>
      <c r="H14" s="40" t="s">
        <v>20</v>
      </c>
      <c r="I14" s="32"/>
    </row>
    <row r="15" spans="2:12" x14ac:dyDescent="0.2">
      <c r="C15" s="27"/>
      <c r="D15" s="19" t="s">
        <v>51</v>
      </c>
      <c r="E15" s="21">
        <f>300*12</f>
        <v>3600</v>
      </c>
      <c r="G15" s="31"/>
      <c r="H15" s="40" t="s">
        <v>21</v>
      </c>
      <c r="I15" s="32"/>
    </row>
    <row r="16" spans="2:12" x14ac:dyDescent="0.2">
      <c r="C16" s="27"/>
      <c r="D16" s="19" t="s">
        <v>52</v>
      </c>
      <c r="E16" s="21">
        <f>200*12</f>
        <v>2400</v>
      </c>
      <c r="G16" s="36" t="s">
        <v>22</v>
      </c>
      <c r="I16" s="32"/>
    </row>
    <row r="17" spans="2:9" x14ac:dyDescent="0.2">
      <c r="C17" s="27"/>
      <c r="D17" s="19" t="s">
        <v>53</v>
      </c>
      <c r="E17" s="21">
        <f>100*12</f>
        <v>1200</v>
      </c>
      <c r="G17" s="31"/>
      <c r="H17" s="40" t="s">
        <v>68</v>
      </c>
      <c r="I17" s="39">
        <v>559</v>
      </c>
    </row>
    <row r="18" spans="2:9" x14ac:dyDescent="0.2">
      <c r="C18" s="27" t="s">
        <v>3</v>
      </c>
      <c r="D18" s="19" t="s">
        <v>49</v>
      </c>
      <c r="E18" s="21">
        <f>459*12*6</f>
        <v>33048</v>
      </c>
      <c r="G18" s="36" t="s">
        <v>24</v>
      </c>
      <c r="I18" s="39">
        <v>200</v>
      </c>
    </row>
    <row r="19" spans="2:9" x14ac:dyDescent="0.2">
      <c r="C19" s="27" t="s">
        <v>4</v>
      </c>
      <c r="E19" s="21">
        <f>(200*6)*12</f>
        <v>14400</v>
      </c>
      <c r="G19" s="36" t="s">
        <v>25</v>
      </c>
      <c r="H19" s="56"/>
      <c r="I19" s="39">
        <v>100</v>
      </c>
    </row>
    <row r="20" spans="2:9" x14ac:dyDescent="0.2">
      <c r="C20" s="27" t="s">
        <v>50</v>
      </c>
      <c r="D20" s="19" t="s">
        <v>49</v>
      </c>
      <c r="E20" s="21">
        <f>6*75*12</f>
        <v>5400</v>
      </c>
      <c r="G20" s="59" t="s">
        <v>0</v>
      </c>
      <c r="H20" s="40"/>
      <c r="I20" s="39">
        <v>300</v>
      </c>
    </row>
    <row r="21" spans="2:9" x14ac:dyDescent="0.2">
      <c r="C21" s="27" t="s">
        <v>5</v>
      </c>
      <c r="D21" s="19" t="s">
        <v>60</v>
      </c>
      <c r="E21" s="21">
        <f>(200*12)+(3*40*12)</f>
        <v>3840</v>
      </c>
      <c r="G21" s="41" t="s">
        <v>5</v>
      </c>
      <c r="H21" s="42"/>
      <c r="I21" s="39">
        <v>100</v>
      </c>
    </row>
    <row r="22" spans="2:9" x14ac:dyDescent="0.2">
      <c r="C22" s="27" t="s">
        <v>54</v>
      </c>
      <c r="E22" s="21">
        <f>200*12</f>
        <v>2400</v>
      </c>
      <c r="G22" s="36" t="s">
        <v>63</v>
      </c>
      <c r="H22" s="56"/>
      <c r="I22" s="39">
        <v>100</v>
      </c>
    </row>
    <row r="23" spans="2:9" x14ac:dyDescent="0.2">
      <c r="C23" s="27" t="s">
        <v>55</v>
      </c>
      <c r="D23" s="19" t="s">
        <v>56</v>
      </c>
      <c r="E23" s="21">
        <f>(75*12)+(130*12)</f>
        <v>2460</v>
      </c>
      <c r="G23" s="31"/>
      <c r="H23" s="45" t="s">
        <v>7</v>
      </c>
      <c r="I23" s="46">
        <f>SUM(I9:I22)</f>
        <v>5534</v>
      </c>
    </row>
    <row r="24" spans="2:9" x14ac:dyDescent="0.2">
      <c r="C24" s="27" t="s">
        <v>57</v>
      </c>
      <c r="D24" s="19" t="s">
        <v>59</v>
      </c>
      <c r="E24" s="21">
        <f>(3*200)*12</f>
        <v>7200</v>
      </c>
      <c r="G24" s="31"/>
      <c r="H24" s="57"/>
      <c r="I24" s="58"/>
    </row>
    <row r="25" spans="2:9" ht="17" thickBot="1" x14ac:dyDescent="0.25">
      <c r="C25" s="27"/>
      <c r="G25" s="48"/>
      <c r="H25" s="49" t="s">
        <v>28</v>
      </c>
      <c r="I25" s="50">
        <f>I23/30</f>
        <v>184.46666666666667</v>
      </c>
    </row>
    <row r="26" spans="2:9" x14ac:dyDescent="0.2">
      <c r="C26" s="27" t="s">
        <v>6</v>
      </c>
      <c r="D26" s="19" t="s">
        <v>67</v>
      </c>
      <c r="E26" s="21">
        <f>150*12</f>
        <v>1800</v>
      </c>
    </row>
    <row r="28" spans="2:9" x14ac:dyDescent="0.2">
      <c r="D28" s="25" t="s">
        <v>7</v>
      </c>
      <c r="E28" s="44">
        <f>SUM(E6:E26)</f>
        <v>313877</v>
      </c>
    </row>
    <row r="29" spans="2:9" x14ac:dyDescent="0.2">
      <c r="D29" s="27"/>
      <c r="F29" s="43"/>
    </row>
    <row r="30" spans="2:9" x14ac:dyDescent="0.2">
      <c r="B30" s="25"/>
      <c r="C30" s="25" t="s">
        <v>8</v>
      </c>
      <c r="D30" s="24"/>
      <c r="E30" s="26"/>
    </row>
    <row r="31" spans="2:9" x14ac:dyDescent="0.2">
      <c r="C31" s="27" t="s">
        <v>38</v>
      </c>
      <c r="D31" s="47" t="s">
        <v>61</v>
      </c>
      <c r="E31" s="21">
        <f>(365*185)*3</f>
        <v>202575</v>
      </c>
    </row>
    <row r="32" spans="2:9" x14ac:dyDescent="0.2">
      <c r="C32" s="27" t="s">
        <v>39</v>
      </c>
      <c r="E32" s="21">
        <f>(459*12*3)+(3*75*12)</f>
        <v>19224</v>
      </c>
    </row>
    <row r="33" spans="3:6" x14ac:dyDescent="0.2">
      <c r="C33" s="27" t="s">
        <v>37</v>
      </c>
      <c r="E33" s="21">
        <v>100000</v>
      </c>
    </row>
    <row r="35" spans="3:6" x14ac:dyDescent="0.2">
      <c r="D35" s="25" t="s">
        <v>9</v>
      </c>
      <c r="E35" s="44">
        <f>SUM(E31:E33)</f>
        <v>321799</v>
      </c>
    </row>
    <row r="36" spans="3:6" x14ac:dyDescent="0.2">
      <c r="F36" s="43"/>
    </row>
    <row r="37" spans="3:6" x14ac:dyDescent="0.2">
      <c r="D37" s="24" t="s">
        <v>10</v>
      </c>
      <c r="E37" s="26">
        <f>E35-E28</f>
        <v>7922</v>
      </c>
    </row>
  </sheetData>
  <mergeCells count="5">
    <mergeCell ref="B3:E3"/>
    <mergeCell ref="G3:I3"/>
    <mergeCell ref="G5:H5"/>
    <mergeCell ref="G9:H9"/>
    <mergeCell ref="G21:H21"/>
  </mergeCells>
  <phoneticPr fontId="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35E1-AB73-7342-AC0D-18A0DD5F12AA}">
  <dimension ref="B2:L36"/>
  <sheetViews>
    <sheetView zoomScale="140" zoomScaleNormal="140" workbookViewId="0">
      <selection activeCell="G3" sqref="G3:I8"/>
    </sheetView>
  </sheetViews>
  <sheetFormatPr baseColWidth="10" defaultColWidth="8.83203125" defaultRowHeight="16" x14ac:dyDescent="0.2"/>
  <cols>
    <col min="1" max="1" width="8.83203125" style="19"/>
    <col min="2" max="2" width="3.33203125" style="19" customWidth="1"/>
    <col min="3" max="3" width="25.33203125" style="19" customWidth="1"/>
    <col min="4" max="4" width="31.6640625" style="19" customWidth="1"/>
    <col min="5" max="5" width="17.83203125" style="21" customWidth="1"/>
    <col min="6" max="6" width="3.5" style="22" customWidth="1"/>
    <col min="7" max="7" width="18.83203125" style="19" customWidth="1"/>
    <col min="8" max="8" width="38.33203125" style="19" customWidth="1"/>
    <col min="9" max="9" width="21.5" style="19" customWidth="1"/>
    <col min="10" max="10" width="13.83203125" style="19" bestFit="1" customWidth="1"/>
    <col min="11" max="11" width="9.1640625" style="19" customWidth="1"/>
    <col min="12" max="12" width="17.5" style="19" bestFit="1" customWidth="1"/>
    <col min="13" max="16384" width="8.83203125" style="19"/>
  </cols>
  <sheetData>
    <row r="2" spans="2:12" ht="18" customHeight="1" thickBot="1" x14ac:dyDescent="0.25">
      <c r="B2" s="20"/>
    </row>
    <row r="3" spans="2:12" ht="39" customHeight="1" x14ac:dyDescent="0.2">
      <c r="B3" s="18" t="s">
        <v>65</v>
      </c>
      <c r="C3" s="18"/>
      <c r="D3" s="18"/>
      <c r="E3" s="18"/>
      <c r="G3" s="70" t="s">
        <v>70</v>
      </c>
      <c r="H3" s="71"/>
      <c r="I3" s="72"/>
      <c r="J3" s="53"/>
      <c r="K3" s="53"/>
      <c r="L3" s="23"/>
    </row>
    <row r="4" spans="2:12" x14ac:dyDescent="0.2">
      <c r="G4" s="73"/>
      <c r="H4" s="74"/>
      <c r="I4" s="75"/>
    </row>
    <row r="5" spans="2:12" x14ac:dyDescent="0.2">
      <c r="B5" s="24"/>
      <c r="C5" s="25" t="s">
        <v>0</v>
      </c>
      <c r="D5" s="24"/>
      <c r="E5" s="26"/>
      <c r="G5" s="73"/>
      <c r="H5" s="74"/>
      <c r="I5" s="75"/>
      <c r="J5" s="60"/>
    </row>
    <row r="6" spans="2:12" x14ac:dyDescent="0.2">
      <c r="G6" s="73"/>
      <c r="H6" s="74"/>
      <c r="I6" s="75"/>
      <c r="J6" s="60"/>
    </row>
    <row r="7" spans="2:12" x14ac:dyDescent="0.2">
      <c r="C7" s="27" t="s">
        <v>1</v>
      </c>
      <c r="G7" s="73"/>
      <c r="H7" s="74"/>
      <c r="I7" s="75"/>
      <c r="J7" s="60"/>
    </row>
    <row r="8" spans="2:12" ht="17" thickBot="1" x14ac:dyDescent="0.25">
      <c r="D8" s="19" t="s">
        <v>26</v>
      </c>
      <c r="E8" s="21">
        <f>35*8*52</f>
        <v>14560</v>
      </c>
      <c r="G8" s="76"/>
      <c r="H8" s="77"/>
      <c r="I8" s="78"/>
      <c r="J8" s="60"/>
    </row>
    <row r="9" spans="2:12" x14ac:dyDescent="0.2">
      <c r="D9" s="19" t="s">
        <v>66</v>
      </c>
      <c r="E9" s="21">
        <f>27*20*52</f>
        <v>28080</v>
      </c>
      <c r="G9" s="64"/>
      <c r="H9" s="64"/>
      <c r="I9" s="65"/>
      <c r="J9" s="60"/>
    </row>
    <row r="10" spans="2:12" x14ac:dyDescent="0.2">
      <c r="D10" s="19" t="s">
        <v>69</v>
      </c>
      <c r="E10" s="21">
        <f>1000*12</f>
        <v>12000</v>
      </c>
      <c r="G10" s="60"/>
      <c r="H10" s="62"/>
      <c r="I10" s="60"/>
      <c r="J10" s="60"/>
    </row>
    <row r="11" spans="2:12" x14ac:dyDescent="0.2">
      <c r="D11" s="19" t="s">
        <v>40</v>
      </c>
      <c r="E11" s="21">
        <f>((E9+E8)*0.15)</f>
        <v>6396</v>
      </c>
      <c r="G11" s="60"/>
      <c r="H11" s="62"/>
      <c r="I11" s="60"/>
      <c r="J11" s="60"/>
    </row>
    <row r="12" spans="2:12" x14ac:dyDescent="0.2">
      <c r="D12" s="19" t="s">
        <v>43</v>
      </c>
      <c r="E12" s="21">
        <f>3*500</f>
        <v>1500</v>
      </c>
      <c r="G12" s="60"/>
      <c r="H12" s="62"/>
      <c r="I12" s="60"/>
      <c r="J12" s="60"/>
    </row>
    <row r="13" spans="2:12" x14ac:dyDescent="0.2">
      <c r="C13" s="27"/>
      <c r="D13" s="19" t="s">
        <v>58</v>
      </c>
      <c r="E13" s="21">
        <f>300*12</f>
        <v>3600</v>
      </c>
      <c r="G13" s="60"/>
      <c r="H13" s="62"/>
      <c r="I13" s="60"/>
      <c r="J13" s="60"/>
    </row>
    <row r="14" spans="2:12" x14ac:dyDescent="0.2">
      <c r="C14" s="27" t="s">
        <v>2</v>
      </c>
      <c r="G14" s="60"/>
      <c r="H14" s="62"/>
      <c r="I14" s="60"/>
      <c r="J14" s="60"/>
    </row>
    <row r="15" spans="2:12" x14ac:dyDescent="0.2">
      <c r="C15" s="27"/>
      <c r="D15" s="19" t="s">
        <v>51</v>
      </c>
      <c r="E15" s="21">
        <f>300*12</f>
        <v>3600</v>
      </c>
      <c r="G15" s="60"/>
      <c r="H15" s="62"/>
      <c r="I15" s="60"/>
      <c r="J15" s="60"/>
    </row>
    <row r="16" spans="2:12" x14ac:dyDescent="0.2">
      <c r="C16" s="27"/>
      <c r="D16" s="19" t="s">
        <v>52</v>
      </c>
      <c r="E16" s="21">
        <f>200*12</f>
        <v>2400</v>
      </c>
      <c r="G16" s="63"/>
      <c r="H16" s="60"/>
      <c r="I16" s="60"/>
      <c r="J16" s="60"/>
    </row>
    <row r="17" spans="2:10" x14ac:dyDescent="0.2">
      <c r="C17" s="27"/>
      <c r="D17" s="19" t="s">
        <v>53</v>
      </c>
      <c r="E17" s="21">
        <f>100*12</f>
        <v>1200</v>
      </c>
      <c r="G17" s="60"/>
      <c r="H17" s="62"/>
      <c r="I17" s="65"/>
      <c r="J17" s="60"/>
    </row>
    <row r="18" spans="2:10" x14ac:dyDescent="0.2">
      <c r="C18" s="27" t="s">
        <v>3</v>
      </c>
      <c r="D18" s="19" t="s">
        <v>49</v>
      </c>
      <c r="E18" s="21">
        <f>459*12*6</f>
        <v>33048</v>
      </c>
      <c r="G18" s="63"/>
      <c r="H18" s="60"/>
      <c r="I18" s="65"/>
      <c r="J18" s="60"/>
    </row>
    <row r="19" spans="2:10" x14ac:dyDescent="0.2">
      <c r="C19" s="27" t="s">
        <v>4</v>
      </c>
      <c r="E19" s="21">
        <f>(200*5)*12</f>
        <v>12000</v>
      </c>
      <c r="G19" s="63"/>
      <c r="H19" s="63"/>
      <c r="I19" s="65"/>
      <c r="J19" s="60"/>
    </row>
    <row r="20" spans="2:10" x14ac:dyDescent="0.2">
      <c r="C20" s="27" t="s">
        <v>50</v>
      </c>
      <c r="D20" s="19" t="s">
        <v>49</v>
      </c>
      <c r="E20" s="21">
        <f>6*75*12</f>
        <v>5400</v>
      </c>
      <c r="G20" s="66"/>
      <c r="H20" s="62"/>
      <c r="I20" s="65"/>
      <c r="J20" s="60"/>
    </row>
    <row r="21" spans="2:10" x14ac:dyDescent="0.2">
      <c r="C21" s="27" t="s">
        <v>5</v>
      </c>
      <c r="E21" s="21">
        <f>(200*12)</f>
        <v>2400</v>
      </c>
      <c r="G21" s="61"/>
      <c r="H21" s="61"/>
      <c r="I21" s="65"/>
      <c r="J21" s="60"/>
    </row>
    <row r="22" spans="2:10" x14ac:dyDescent="0.2">
      <c r="C22" s="27" t="s">
        <v>54</v>
      </c>
      <c r="E22" s="21">
        <f>200*12</f>
        <v>2400</v>
      </c>
      <c r="G22" s="63"/>
      <c r="H22" s="63"/>
      <c r="I22" s="65"/>
      <c r="J22" s="60"/>
    </row>
    <row r="23" spans="2:10" x14ac:dyDescent="0.2">
      <c r="C23" s="27" t="s">
        <v>55</v>
      </c>
      <c r="D23" s="19" t="s">
        <v>56</v>
      </c>
      <c r="E23" s="21">
        <f>(75*12)+(130*12)</f>
        <v>2460</v>
      </c>
      <c r="G23" s="60"/>
      <c r="H23" s="63"/>
      <c r="I23" s="67"/>
      <c r="J23" s="60"/>
    </row>
    <row r="24" spans="2:10" x14ac:dyDescent="0.2">
      <c r="G24" s="60"/>
      <c r="H24" s="63"/>
      <c r="I24" s="62"/>
      <c r="J24" s="60"/>
    </row>
    <row r="25" spans="2:10" x14ac:dyDescent="0.2">
      <c r="D25" s="25" t="s">
        <v>7</v>
      </c>
      <c r="E25" s="44">
        <f>SUM(E6:E23)</f>
        <v>131044</v>
      </c>
      <c r="G25" s="60"/>
      <c r="H25" s="62"/>
      <c r="I25" s="65"/>
      <c r="J25" s="60"/>
    </row>
    <row r="26" spans="2:10" x14ac:dyDescent="0.2">
      <c r="D26" s="27"/>
      <c r="G26" s="60"/>
      <c r="H26" s="60"/>
      <c r="I26" s="60"/>
      <c r="J26" s="60"/>
    </row>
    <row r="27" spans="2:10" x14ac:dyDescent="0.2">
      <c r="B27" s="25"/>
      <c r="C27" s="25" t="s">
        <v>8</v>
      </c>
      <c r="D27" s="24"/>
      <c r="E27" s="26"/>
    </row>
    <row r="28" spans="2:10" x14ac:dyDescent="0.2">
      <c r="C28" s="27" t="s">
        <v>71</v>
      </c>
      <c r="E28" s="21">
        <f>600*12*5</f>
        <v>36000</v>
      </c>
    </row>
    <row r="29" spans="2:10" x14ac:dyDescent="0.2">
      <c r="C29" s="27" t="s">
        <v>37</v>
      </c>
      <c r="E29" s="21">
        <v>100000</v>
      </c>
      <c r="F29" s="43"/>
    </row>
    <row r="31" spans="2:10" x14ac:dyDescent="0.2">
      <c r="D31" s="25" t="s">
        <v>9</v>
      </c>
      <c r="E31" s="44">
        <f>SUM(E28:E29)</f>
        <v>136000</v>
      </c>
    </row>
    <row r="33" spans="4:6" x14ac:dyDescent="0.2">
      <c r="D33" s="24" t="s">
        <v>10</v>
      </c>
      <c r="E33" s="26">
        <f>E31-E25</f>
        <v>4956</v>
      </c>
    </row>
    <row r="36" spans="4:6" x14ac:dyDescent="0.2">
      <c r="F36" s="43"/>
    </row>
  </sheetData>
  <mergeCells count="4">
    <mergeCell ref="B3:E3"/>
    <mergeCell ref="G9:H9"/>
    <mergeCell ref="G21:H21"/>
    <mergeCell ref="G3: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25"/>
  <sheetViews>
    <sheetView zoomScale="140" zoomScaleNormal="140" workbookViewId="0">
      <selection activeCell="Q21" sqref="Q21"/>
    </sheetView>
  </sheetViews>
  <sheetFormatPr baseColWidth="10" defaultColWidth="8.83203125" defaultRowHeight="15" x14ac:dyDescent="0.2"/>
  <cols>
    <col min="1" max="1" width="6.5" customWidth="1"/>
    <col min="2" max="2" width="4.5" customWidth="1"/>
    <col min="7" max="7" width="11.1640625" style="16" bestFit="1" customWidth="1"/>
    <col min="9" max="9" width="23.1640625" customWidth="1"/>
    <col min="10" max="10" width="16.6640625" customWidth="1"/>
    <col min="11" max="11" width="7" customWidth="1"/>
  </cols>
  <sheetData>
    <row r="2" spans="2:11" ht="16" thickBot="1" x14ac:dyDescent="0.25"/>
    <row r="3" spans="2:11" ht="33" customHeight="1" x14ac:dyDescent="0.4">
      <c r="B3" s="13"/>
      <c r="C3" s="79" t="s">
        <v>29</v>
      </c>
      <c r="D3" s="13"/>
      <c r="E3" s="14"/>
      <c r="F3" s="13"/>
      <c r="G3" s="15"/>
      <c r="H3" s="55"/>
      <c r="I3" s="82" t="s">
        <v>75</v>
      </c>
      <c r="J3" s="68"/>
      <c r="K3" s="83"/>
    </row>
    <row r="4" spans="2:11" ht="15" customHeight="1" x14ac:dyDescent="0.2">
      <c r="E4" s="1"/>
      <c r="I4" s="84"/>
      <c r="J4" s="69"/>
      <c r="K4" s="85"/>
    </row>
    <row r="5" spans="2:11" ht="15" customHeight="1" x14ac:dyDescent="0.2">
      <c r="B5" s="4" t="s">
        <v>0</v>
      </c>
      <c r="C5" s="4"/>
      <c r="D5" s="3"/>
      <c r="E5" s="6"/>
      <c r="F5" s="3"/>
      <c r="G5" s="80"/>
      <c r="I5" s="84"/>
      <c r="J5" s="69"/>
      <c r="K5" s="85"/>
    </row>
    <row r="6" spans="2:11" ht="15" customHeight="1" x14ac:dyDescent="0.2">
      <c r="C6" t="s">
        <v>30</v>
      </c>
      <c r="I6" s="84"/>
      <c r="J6" s="69"/>
      <c r="K6" s="85"/>
    </row>
    <row r="7" spans="2:11" ht="15" customHeight="1" thickBot="1" x14ac:dyDescent="0.25">
      <c r="D7" t="s">
        <v>73</v>
      </c>
      <c r="G7" s="16">
        <v>3000</v>
      </c>
      <c r="I7" s="86"/>
      <c r="J7" s="87"/>
      <c r="K7" s="88"/>
    </row>
    <row r="8" spans="2:11" ht="16" customHeight="1" x14ac:dyDescent="0.2">
      <c r="D8" t="s">
        <v>31</v>
      </c>
      <c r="G8" s="16">
        <f>(35*2*14)+(35*2*20)</f>
        <v>2380</v>
      </c>
    </row>
    <row r="10" spans="2:11" x14ac:dyDescent="0.2">
      <c r="C10" t="s">
        <v>74</v>
      </c>
    </row>
    <row r="11" spans="2:11" x14ac:dyDescent="0.2">
      <c r="D11" t="s">
        <v>32</v>
      </c>
      <c r="G11" s="16">
        <v>1500</v>
      </c>
    </row>
    <row r="12" spans="2:11" x14ac:dyDescent="0.2">
      <c r="D12" t="s">
        <v>81</v>
      </c>
      <c r="G12" s="16">
        <v>1000</v>
      </c>
    </row>
    <row r="14" spans="2:11" x14ac:dyDescent="0.2">
      <c r="C14" t="s">
        <v>33</v>
      </c>
      <c r="G14" s="16">
        <v>25000</v>
      </c>
    </row>
    <row r="16" spans="2:11" ht="16" thickBot="1" x14ac:dyDescent="0.25"/>
    <row r="17" spans="2:11" x14ac:dyDescent="0.2">
      <c r="C17" t="s">
        <v>34</v>
      </c>
      <c r="I17" s="82" t="s">
        <v>77</v>
      </c>
      <c r="J17" s="68"/>
      <c r="K17" s="83"/>
    </row>
    <row r="18" spans="2:11" x14ac:dyDescent="0.2">
      <c r="D18" t="s">
        <v>78</v>
      </c>
      <c r="G18" s="16">
        <v>3000</v>
      </c>
      <c r="I18" s="84"/>
      <c r="J18" s="69"/>
      <c r="K18" s="85"/>
    </row>
    <row r="19" spans="2:11" x14ac:dyDescent="0.2">
      <c r="D19" t="s">
        <v>79</v>
      </c>
      <c r="G19" s="16">
        <v>1400</v>
      </c>
      <c r="I19" s="84"/>
      <c r="J19" s="69"/>
      <c r="K19" s="85"/>
    </row>
    <row r="20" spans="2:11" x14ac:dyDescent="0.2">
      <c r="C20" t="s">
        <v>76</v>
      </c>
      <c r="G20" s="16">
        <v>5000</v>
      </c>
      <c r="I20" s="84"/>
      <c r="J20" s="69"/>
      <c r="K20" s="85"/>
    </row>
    <row r="21" spans="2:11" ht="16" thickBot="1" x14ac:dyDescent="0.25">
      <c r="I21" s="86"/>
      <c r="J21" s="87"/>
      <c r="K21" s="88"/>
    </row>
    <row r="22" spans="2:11" x14ac:dyDescent="0.2">
      <c r="C22" t="s">
        <v>35</v>
      </c>
    </row>
    <row r="23" spans="2:11" x14ac:dyDescent="0.2">
      <c r="D23" t="s">
        <v>80</v>
      </c>
      <c r="G23" s="16">
        <v>1700</v>
      </c>
    </row>
    <row r="25" spans="2:11" x14ac:dyDescent="0.2">
      <c r="B25" s="3"/>
      <c r="C25" s="3"/>
      <c r="D25" s="3"/>
      <c r="E25" s="3"/>
      <c r="F25" s="4" t="s">
        <v>36</v>
      </c>
      <c r="G25" s="81">
        <f>SUM(G7:G24)</f>
        <v>43980</v>
      </c>
    </row>
  </sheetData>
  <mergeCells count="2">
    <mergeCell ref="I3:K7"/>
    <mergeCell ref="I17:K2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6"/>
  <sheetViews>
    <sheetView zoomScale="120" zoomScaleNormal="120" workbookViewId="0">
      <selection activeCell="G40" sqref="G40"/>
    </sheetView>
  </sheetViews>
  <sheetFormatPr baseColWidth="10" defaultColWidth="8.83203125" defaultRowHeight="15" x14ac:dyDescent="0.2"/>
  <cols>
    <col min="1" max="1" width="8.83203125" style="55"/>
    <col min="2" max="2" width="18.83203125" bestFit="1" customWidth="1"/>
    <col min="3" max="3" width="40.5" bestFit="1" customWidth="1"/>
    <col min="4" max="4" width="22.83203125" style="1" bestFit="1" customWidth="1"/>
    <col min="5" max="5" width="12.5" customWidth="1"/>
    <col min="6" max="6" width="11.5" bestFit="1" customWidth="1"/>
  </cols>
  <sheetData>
    <row r="1" spans="2:7" x14ac:dyDescent="0.2">
      <c r="G1" s="55"/>
    </row>
    <row r="2" spans="2:7" x14ac:dyDescent="0.2">
      <c r="G2" s="55"/>
    </row>
    <row r="3" spans="2:7" ht="33" x14ac:dyDescent="0.4">
      <c r="B3" s="17" t="s">
        <v>72</v>
      </c>
      <c r="C3" s="7"/>
      <c r="D3" s="8"/>
      <c r="E3" s="7"/>
      <c r="F3" s="7"/>
      <c r="G3" s="55"/>
    </row>
    <row r="4" spans="2:7" x14ac:dyDescent="0.2">
      <c r="G4" s="55"/>
    </row>
    <row r="5" spans="2:7" x14ac:dyDescent="0.2">
      <c r="B5" s="4" t="s">
        <v>64</v>
      </c>
      <c r="C5" s="3"/>
      <c r="D5" s="6" t="s">
        <v>11</v>
      </c>
      <c r="E5" s="3" t="s">
        <v>12</v>
      </c>
      <c r="F5" s="3" t="s">
        <v>13</v>
      </c>
      <c r="G5" s="55"/>
    </row>
    <row r="6" spans="2:7" x14ac:dyDescent="0.2">
      <c r="B6" s="2"/>
    </row>
    <row r="7" spans="2:7" x14ac:dyDescent="0.2">
      <c r="B7" s="2" t="s">
        <v>14</v>
      </c>
    </row>
    <row r="8" spans="2:7" x14ac:dyDescent="0.2">
      <c r="B8" t="s">
        <v>46</v>
      </c>
      <c r="D8" s="1">
        <f>((30*16*365)/12)/4</f>
        <v>3650</v>
      </c>
      <c r="E8" s="1">
        <f>D8*2</f>
        <v>7300</v>
      </c>
      <c r="F8" s="9">
        <f>D8*3</f>
        <v>10950</v>
      </c>
    </row>
    <row r="9" spans="2:7" x14ac:dyDescent="0.2">
      <c r="C9" t="s">
        <v>15</v>
      </c>
      <c r="E9" s="1"/>
      <c r="F9" s="9"/>
    </row>
    <row r="10" spans="2:7" x14ac:dyDescent="0.2">
      <c r="C10" t="s">
        <v>16</v>
      </c>
      <c r="E10" s="1"/>
      <c r="F10" s="9"/>
    </row>
    <row r="11" spans="2:7" x14ac:dyDescent="0.2">
      <c r="C11" t="s">
        <v>17</v>
      </c>
      <c r="E11" s="1"/>
      <c r="F11" s="9"/>
    </row>
    <row r="12" spans="2:7" x14ac:dyDescent="0.2">
      <c r="C12" t="s">
        <v>18</v>
      </c>
      <c r="E12" s="1"/>
      <c r="F12" s="9"/>
    </row>
    <row r="13" spans="2:7" x14ac:dyDescent="0.2">
      <c r="B13" t="s">
        <v>19</v>
      </c>
      <c r="E13" s="1"/>
      <c r="F13" s="9"/>
    </row>
    <row r="14" spans="2:7" x14ac:dyDescent="0.2">
      <c r="B14" s="2" t="s">
        <v>62</v>
      </c>
      <c r="D14" s="1">
        <f>35*15</f>
        <v>525</v>
      </c>
      <c r="E14" s="1">
        <f t="shared" ref="E14:E25" si="0">D14*2</f>
        <v>1050</v>
      </c>
      <c r="F14" s="9">
        <f t="shared" ref="F14:F25" si="1">D14*3</f>
        <v>1575</v>
      </c>
    </row>
    <row r="15" spans="2:7" x14ac:dyDescent="0.2">
      <c r="C15" t="s">
        <v>20</v>
      </c>
      <c r="E15" s="1"/>
      <c r="F15" s="9"/>
    </row>
    <row r="16" spans="2:7" x14ac:dyDescent="0.2">
      <c r="C16" t="s">
        <v>21</v>
      </c>
      <c r="E16" s="1"/>
      <c r="F16" s="9"/>
    </row>
    <row r="17" spans="2:7" x14ac:dyDescent="0.2">
      <c r="B17" s="2"/>
      <c r="E17" s="1"/>
      <c r="F17" s="9"/>
    </row>
    <row r="18" spans="2:7" x14ac:dyDescent="0.2">
      <c r="B18" s="2" t="s">
        <v>22</v>
      </c>
      <c r="E18" s="1"/>
      <c r="F18" s="9"/>
    </row>
    <row r="19" spans="2:7" x14ac:dyDescent="0.2">
      <c r="C19" t="s">
        <v>23</v>
      </c>
      <c r="D19" s="1">
        <f>459+100</f>
        <v>559</v>
      </c>
      <c r="E19" s="1">
        <f t="shared" si="0"/>
        <v>1118</v>
      </c>
      <c r="F19" s="9">
        <f t="shared" si="1"/>
        <v>1677</v>
      </c>
    </row>
    <row r="20" spans="2:7" x14ac:dyDescent="0.2">
      <c r="E20" s="1"/>
      <c r="F20" s="9"/>
    </row>
    <row r="21" spans="2:7" x14ac:dyDescent="0.2">
      <c r="B21" s="2" t="s">
        <v>24</v>
      </c>
      <c r="D21" s="1">
        <v>200</v>
      </c>
      <c r="E21" s="1">
        <f t="shared" si="0"/>
        <v>400</v>
      </c>
      <c r="F21" s="9">
        <f t="shared" si="1"/>
        <v>600</v>
      </c>
    </row>
    <row r="22" spans="2:7" x14ac:dyDescent="0.2">
      <c r="B22" s="2" t="s">
        <v>0</v>
      </c>
      <c r="D22" s="1">
        <v>300</v>
      </c>
      <c r="E22" s="1">
        <f t="shared" si="0"/>
        <v>600</v>
      </c>
      <c r="F22" s="9">
        <f t="shared" si="1"/>
        <v>900</v>
      </c>
    </row>
    <row r="23" spans="2:7" x14ac:dyDescent="0.2">
      <c r="B23" s="2" t="s">
        <v>25</v>
      </c>
      <c r="D23" s="1">
        <v>100</v>
      </c>
      <c r="E23" s="1">
        <f t="shared" si="0"/>
        <v>200</v>
      </c>
      <c r="F23" s="9">
        <f t="shared" si="1"/>
        <v>300</v>
      </c>
    </row>
    <row r="24" spans="2:7" x14ac:dyDescent="0.2">
      <c r="B24" s="2" t="s">
        <v>27</v>
      </c>
      <c r="D24" s="1">
        <v>100</v>
      </c>
      <c r="E24" s="1">
        <f t="shared" si="0"/>
        <v>200</v>
      </c>
      <c r="F24" s="9">
        <f t="shared" si="1"/>
        <v>300</v>
      </c>
    </row>
    <row r="25" spans="2:7" x14ac:dyDescent="0.2">
      <c r="B25" s="2" t="s">
        <v>63</v>
      </c>
      <c r="D25" s="1">
        <v>100</v>
      </c>
      <c r="E25" s="1">
        <f t="shared" si="0"/>
        <v>200</v>
      </c>
      <c r="F25" s="9">
        <f t="shared" si="1"/>
        <v>300</v>
      </c>
    </row>
    <row r="27" spans="2:7" x14ac:dyDescent="0.2">
      <c r="C27" s="4" t="s">
        <v>7</v>
      </c>
      <c r="D27" s="5">
        <f>SUM(D7:D25)</f>
        <v>5534</v>
      </c>
      <c r="E27" s="5">
        <f>SUM(E7:E25)</f>
        <v>11068</v>
      </c>
      <c r="F27" s="5">
        <f>SUM(F7:F25)</f>
        <v>16602</v>
      </c>
    </row>
    <row r="29" spans="2:7" x14ac:dyDescent="0.2">
      <c r="B29" s="2"/>
      <c r="C29" s="3" t="s">
        <v>28</v>
      </c>
      <c r="D29" s="10">
        <f>D27/30</f>
        <v>184.46666666666667</v>
      </c>
      <c r="E29" s="10"/>
      <c r="F29" s="10"/>
      <c r="G29" s="55"/>
    </row>
    <row r="30" spans="2:7" x14ac:dyDescent="0.2">
      <c r="B30" s="2"/>
      <c r="G30" s="55"/>
    </row>
    <row r="31" spans="2:7" x14ac:dyDescent="0.2">
      <c r="B31" s="2"/>
      <c r="G31" s="55"/>
    </row>
    <row r="32" spans="2:7" x14ac:dyDescent="0.2">
      <c r="G32" s="55"/>
    </row>
    <row r="33" spans="3:4" x14ac:dyDescent="0.2">
      <c r="C33" s="2"/>
      <c r="D33" s="11"/>
    </row>
    <row r="34" spans="3:4" x14ac:dyDescent="0.2">
      <c r="D34" s="12"/>
    </row>
    <row r="35" spans="3:4" x14ac:dyDescent="0.2">
      <c r="D35" s="12"/>
    </row>
    <row r="36" spans="3:4" x14ac:dyDescent="0.2">
      <c r="D36" s="12"/>
    </row>
  </sheetData>
  <pageMargins left="0.7" right="0.7"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16-18 year olds</vt:lpstr>
      <vt:lpstr>19-21 year olds</vt:lpstr>
      <vt:lpstr>Start-up Costs</vt:lpstr>
      <vt:lpstr>Per Diem Calculations</vt:lpstr>
    </vt:vector>
  </TitlesOfParts>
  <Manager/>
  <Company>ACC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Red</dc:creator>
  <cp:keywords/>
  <dc:description/>
  <cp:lastModifiedBy>R Loewen Walker</cp:lastModifiedBy>
  <cp:revision/>
  <cp:lastPrinted>2018-03-09T13:05:22Z</cp:lastPrinted>
  <dcterms:created xsi:type="dcterms:W3CDTF">2017-01-05T17:12:24Z</dcterms:created>
  <dcterms:modified xsi:type="dcterms:W3CDTF">2023-06-20T17:13:38Z</dcterms:modified>
  <cp:category/>
  <cp:contentStatus/>
</cp:coreProperties>
</file>